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MK90\Desktop\"/>
    </mc:Choice>
  </mc:AlternateContent>
  <xr:revisionPtr revIDLastSave="0" documentId="8_{1B85C489-E9F3-43FB-A2C1-CA9BF64CBCE4}" xr6:coauthVersionLast="47" xr6:coauthVersionMax="47" xr10:uidLastSave="{00000000-0000-0000-0000-000000000000}"/>
  <bookViews>
    <workbookView xWindow="-98" yWindow="-98" windowWidth="28996" windowHeight="15675" xr2:uid="{C649B0EE-14DC-4232-9644-A4044B6B345A}"/>
  </bookViews>
  <sheets>
    <sheet name="סיכומים" sheetId="1" r:id="rId1"/>
    <sheet name="מילוי נתונים" sheetId="2" r:id="rId2"/>
  </sheets>
  <definedNames>
    <definedName name="חיפוש_מוצר">סיכומים!$M$4</definedName>
    <definedName name="חיפוש_מחיר_עלות">סיכומים!$R$2</definedName>
    <definedName name="חיפוש_מחיר_צרכן">סיכומים!$Q$2</definedName>
    <definedName name="חיפוש_נקודה">סיכומים!$D$4</definedName>
    <definedName name="חיפוש_שבוע">סיכומים!$C$4</definedName>
    <definedName name="חיפוש_שנה">סיכומים!$B$4</definedName>
    <definedName name="חיפוש_תאריך">סיכומים!$A$4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4" i="1" l="1"/>
  <c r="J4" i="1"/>
  <c r="F11" i="2"/>
  <c r="F12" i="2"/>
  <c r="F13" i="2"/>
  <c r="F14" i="2"/>
  <c r="F15" i="2"/>
  <c r="G11" i="2"/>
  <c r="G12" i="2"/>
  <c r="G13" i="2"/>
  <c r="G14" i="2"/>
  <c r="G15" i="2"/>
  <c r="F10" i="2"/>
  <c r="G10" i="2"/>
  <c r="F9" i="2"/>
  <c r="G9" i="2"/>
  <c r="F8" i="2"/>
  <c r="G8" i="2"/>
  <c r="F7" i="2"/>
  <c r="G7" i="2"/>
  <c r="F6" i="2"/>
  <c r="G6" i="2"/>
  <c r="F5" i="2"/>
  <c r="G5" i="2"/>
  <c r="L4" i="2"/>
  <c r="M4" i="2"/>
  <c r="Q2" i="1"/>
  <c r="R2" i="1"/>
  <c r="L3" i="2"/>
  <c r="M3" i="2"/>
  <c r="M2" i="2"/>
  <c r="L2" i="2"/>
  <c r="F4" i="2"/>
  <c r="G4" i="2"/>
  <c r="F3" i="2"/>
  <c r="G3" i="2"/>
  <c r="C4" i="1"/>
  <c r="O6" i="1" s="1"/>
  <c r="B4" i="1"/>
  <c r="M7" i="1" s="1"/>
  <c r="F2" i="2"/>
  <c r="G2" i="2"/>
  <c r="N7" i="1" l="1"/>
  <c r="O7" i="1"/>
  <c r="M6" i="1"/>
  <c r="D6" i="1"/>
  <c r="N6" i="1"/>
  <c r="G4" i="1"/>
  <c r="E7" i="1"/>
  <c r="E6" i="1"/>
  <c r="D7" i="1"/>
  <c r="F7" i="1"/>
  <c r="F6" i="1"/>
  <c r="P7" i="1" l="1"/>
  <c r="R7" i="1" s="1"/>
  <c r="H2" i="1"/>
  <c r="F2" i="1"/>
  <c r="P6" i="1"/>
  <c r="R6" i="1" s="1"/>
  <c r="G2" i="1"/>
  <c r="G7" i="1"/>
  <c r="H7" i="1" s="1"/>
  <c r="G6" i="1"/>
  <c r="Q7" i="1" l="1"/>
  <c r="R4" i="1"/>
  <c r="Q6" i="1"/>
  <c r="H6" i="1"/>
  <c r="I2" i="1"/>
  <c r="I7" i="1"/>
  <c r="J7" i="1" s="1"/>
  <c r="I6" i="1"/>
  <c r="Q4" i="1" l="1"/>
  <c r="H4" i="1"/>
  <c r="F4" i="1" s="1"/>
  <c r="J6" i="1"/>
  <c r="I4" i="1"/>
  <c r="J2" i="1" s="1"/>
</calcChain>
</file>

<file path=xl/sharedStrings.xml><?xml version="1.0" encoding="utf-8"?>
<sst xmlns="http://schemas.openxmlformats.org/spreadsheetml/2006/main" count="91" uniqueCount="41">
  <si>
    <t>מוצר</t>
  </si>
  <si>
    <t>מוצר 1</t>
  </si>
  <si>
    <t>מוצר 2</t>
  </si>
  <si>
    <t>עלות</t>
  </si>
  <si>
    <t>שם מוצר</t>
  </si>
  <si>
    <t>נקודה</t>
  </si>
  <si>
    <t>שם נקודה</t>
  </si>
  <si>
    <t>תאריך</t>
  </si>
  <si>
    <t>כמות</t>
  </si>
  <si>
    <t>מספר שבוע</t>
  </si>
  <si>
    <t>פעולה</t>
  </si>
  <si>
    <t>שנה</t>
  </si>
  <si>
    <t>מכירה</t>
  </si>
  <si>
    <t>תאריך חיפוש</t>
  </si>
  <si>
    <t>שבוע</t>
  </si>
  <si>
    <t>מוצר והנתונים</t>
  </si>
  <si>
    <t>ספירת התחלה</t>
  </si>
  <si>
    <t>ספירת סיום</t>
  </si>
  <si>
    <t>התחלה</t>
  </si>
  <si>
    <t>סיום</t>
  </si>
  <si>
    <t>מחיר עלות</t>
  </si>
  <si>
    <t>סכום</t>
  </si>
  <si>
    <t>לקיחה</t>
  </si>
  <si>
    <t>הבאה-לקיחה</t>
  </si>
  <si>
    <t>הבאה</t>
  </si>
  <si>
    <t>מחיר צרכן</t>
  </si>
  <si>
    <t>בקופה</t>
  </si>
  <si>
    <t>פער</t>
  </si>
  <si>
    <t>עלות מכר</t>
  </si>
  <si>
    <t>היקף מכר</t>
  </si>
  <si>
    <t>סיכום נקודה &gt;&gt;&gt;</t>
  </si>
  <si>
    <t>סיכום מוצר &gt;&gt;&gt;</t>
  </si>
  <si>
    <t>היקף עלות</t>
  </si>
  <si>
    <t>חיפוש נקודה</t>
  </si>
  <si>
    <t>חיפוש שבוע</t>
  </si>
  <si>
    <t>חיפוש  מוצר</t>
  </si>
  <si>
    <t>בית כנסת</t>
  </si>
  <si>
    <t>ישיבה</t>
  </si>
  <si>
    <t>רווח</t>
  </si>
  <si>
    <t>רווח ממוצע</t>
  </si>
  <si>
    <t>הפרש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</si>
</sst>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₪&quot;\ #,##0.00"/>
    <numFmt numFmtId="167" formatCode="#"/>
    <numFmt numFmtId="170" formatCode="&quot;₪&quot;\ #,##0.00;&quot;₪&quot;\ #,##0.00\-;#"/>
  </numFmts>
  <fonts count="6" x14ac:knownFonts="1">
    <font>
      <sz val="11"/>
      <color theme="1"/>
      <name val="Calibri"/>
      <family val="2"/>
      <charset val="177"/>
    </font>
    <font>
      <b/>
      <sz val="11"/>
      <color theme="1"/>
      <name val="Calibri"/>
      <family val="2"/>
      <charset val="177"/>
    </font>
    <font>
      <sz val="8"/>
      <name val="Calibri"/>
      <family val="2"/>
      <charset val="177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8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4.9989318521683403E-2"/>
        <bgColor theme="0" tint="-0.1499984740745262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/>
      <bottom style="medium">
        <color theme="1"/>
      </bottom>
      <diagonal/>
    </border>
    <border>
      <left/>
      <right style="thin">
        <color theme="1"/>
      </right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thin">
        <color theme="1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164" fontId="0" fillId="0" borderId="0" xfId="0" applyNumberFormat="1"/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" fontId="0" fillId="0" borderId="0" xfId="0" applyNumberFormat="1"/>
    <xf numFmtId="14" fontId="0" fillId="0" borderId="0" xfId="0" applyNumberFormat="1"/>
    <xf numFmtId="0" fontId="0" fillId="3" borderId="2" xfId="0" applyNumberFormat="1" applyFont="1" applyFill="1" applyBorder="1" applyAlignment="1">
      <alignment horizontal="center"/>
    </xf>
    <xf numFmtId="0" fontId="0" fillId="3" borderId="2" xfId="0" applyFont="1" applyFill="1" applyBorder="1" applyAlignment="1">
      <alignment horizontal="center"/>
    </xf>
    <xf numFmtId="14" fontId="0" fillId="3" borderId="2" xfId="0" applyNumberFormat="1" applyFont="1" applyFill="1" applyBorder="1" applyAlignment="1">
      <alignment horizontal="center"/>
    </xf>
    <xf numFmtId="0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167" fontId="0" fillId="0" borderId="0" xfId="0" applyNumberFormat="1" applyAlignment="1">
      <alignment horizontal="center"/>
    </xf>
    <xf numFmtId="0" fontId="0" fillId="3" borderId="3" xfId="0" applyFont="1" applyFill="1" applyBorder="1" applyAlignment="1">
      <alignment horizontal="right"/>
    </xf>
    <xf numFmtId="0" fontId="0" fillId="3" borderId="4" xfId="0" applyFont="1" applyFill="1" applyBorder="1" applyAlignment="1">
      <alignment horizontal="right"/>
    </xf>
    <xf numFmtId="0" fontId="0" fillId="3" borderId="5" xfId="0" applyFont="1" applyFill="1" applyBorder="1" applyAlignment="1">
      <alignment horizontal="right"/>
    </xf>
    <xf numFmtId="14" fontId="0" fillId="2" borderId="6" xfId="0" applyNumberFormat="1" applyFont="1" applyFill="1" applyBorder="1" applyAlignment="1">
      <alignment horizontal="center"/>
    </xf>
    <xf numFmtId="0" fontId="0" fillId="2" borderId="7" xfId="0" applyFont="1" applyFill="1" applyBorder="1"/>
    <xf numFmtId="1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3" borderId="11" xfId="0" applyFont="1" applyFill="1" applyBorder="1" applyAlignment="1">
      <alignment horizontal="right"/>
    </xf>
    <xf numFmtId="167" fontId="0" fillId="5" borderId="1" xfId="0" applyNumberFormat="1" applyFont="1" applyFill="1" applyBorder="1" applyAlignment="1">
      <alignment horizontal="center"/>
    </xf>
    <xf numFmtId="0" fontId="5" fillId="4" borderId="14" xfId="0" applyFont="1" applyFill="1" applyBorder="1" applyAlignment="1">
      <alignment horizontal="center" vertical="center"/>
    </xf>
    <xf numFmtId="0" fontId="5" fillId="4" borderId="15" xfId="0" applyFont="1" applyFill="1" applyBorder="1" applyAlignment="1">
      <alignment horizontal="center" vertical="center"/>
    </xf>
    <xf numFmtId="0" fontId="5" fillId="4" borderId="13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 vertical="center" wrapText="1"/>
    </xf>
    <xf numFmtId="0" fontId="4" fillId="4" borderId="17" xfId="0" applyFont="1" applyFill="1" applyBorder="1" applyAlignment="1">
      <alignment horizontal="center" vertical="center" wrapText="1"/>
    </xf>
    <xf numFmtId="170" fontId="0" fillId="5" borderId="1" xfId="0" applyNumberFormat="1" applyFont="1" applyFill="1" applyBorder="1" applyAlignment="1">
      <alignment horizontal="center"/>
    </xf>
    <xf numFmtId="170" fontId="0" fillId="0" borderId="0" xfId="0" applyNumberFormat="1" applyAlignment="1">
      <alignment horizontal="center"/>
    </xf>
  </cellXfs>
  <cellStyles count="1">
    <cellStyle name="Normal" xfId="0" builtinId="0"/>
  </cellStyles>
  <dxfs count="27">
    <dxf>
      <numFmt numFmtId="164" formatCode="&quot;₪&quot;\ #,##0.00"/>
    </dxf>
    <dxf>
      <numFmt numFmtId="170" formatCode="&quot;₪&quot;\ #,##0.00;&quot;₪&quot;\ #,##0.00\-;#"/>
      <alignment horizontal="center" vertical="bottom" textRotation="0" wrapText="0" indent="0" justifyLastLine="0" shrinkToFit="0" readingOrder="0"/>
    </dxf>
    <dxf>
      <numFmt numFmtId="170" formatCode="&quot;₪&quot;\ #,##0.00;&quot;₪&quot;\ #,##0.00\-;#"/>
      <alignment horizontal="center" vertical="bottom" textRotation="0" wrapText="0" indent="0" justifyLastLine="0" shrinkToFit="0" readingOrder="0"/>
    </dxf>
    <dxf>
      <numFmt numFmtId="170" formatCode="&quot;₪&quot;\ #,##0.00;&quot;₪&quot;\ #,##0.00\-;#"/>
      <alignment horizontal="center" vertical="bottom" textRotation="0" wrapText="0" indent="0" justifyLastLine="0" shrinkToFit="0" readingOrder="0"/>
    </dxf>
    <dxf>
      <numFmt numFmtId="170" formatCode="&quot;₪&quot;\ #,##0.00;&quot;₪&quot;\ #,##0.00\-;#"/>
      <alignment horizontal="center" vertical="bottom" textRotation="0" wrapText="0" indent="0" justifyLastLine="0" shrinkToFit="0" readingOrder="0"/>
    </dxf>
    <dxf>
      <numFmt numFmtId="170" formatCode="&quot;₪&quot;\ #,##0.00;&quot;₪&quot;\ #,##0.00\-;#"/>
      <alignment horizontal="center" vertical="bottom" textRotation="0" wrapText="0" indent="0" justifyLastLine="0" shrinkToFit="0" readingOrder="0"/>
    </dxf>
    <dxf>
      <numFmt numFmtId="167" formatCode="#"/>
      <alignment horizontal="center" vertical="bottom" textRotation="0" wrapText="0" indent="0" justifyLastLine="0" shrinkToFit="0" readingOrder="0"/>
    </dxf>
    <dxf>
      <numFmt numFmtId="167" formatCode="#"/>
      <alignment horizontal="center" vertical="bottom" textRotation="0" wrapText="0" indent="0" justifyLastLine="0" shrinkToFit="0" readingOrder="0"/>
    </dxf>
    <dxf>
      <numFmt numFmtId="167" formatCode="#"/>
      <alignment horizontal="center" vertical="bottom" textRotation="0" wrapText="0" indent="0" justifyLastLine="0" shrinkToFit="0" readingOrder="0"/>
    </dxf>
    <dxf>
      <numFmt numFmtId="167" formatCode="#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19" formatCode="dd/mm/yyyy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19" formatCode="dd/mm/yyyy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border outline="0">
        <top style="thin">
          <color theme="1"/>
        </top>
      </border>
    </dxf>
    <dxf>
      <border outline="0">
        <bottom style="medium">
          <color theme="1"/>
        </bottom>
      </border>
    </dxf>
    <dxf>
      <border outline="0"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numFmt numFmtId="167" formatCode="#"/>
      <alignment horizontal="center" vertical="bottom" textRotation="0" wrapText="0" indent="0" justifyLastLine="0" shrinkToFit="0" readingOrder="0"/>
    </dxf>
    <dxf>
      <numFmt numFmtId="167" formatCode="#"/>
      <alignment horizontal="center" vertical="bottom" textRotation="0" wrapText="0" indent="0" justifyLastLine="0" shrinkToFit="0" readingOrder="0"/>
    </dxf>
    <dxf>
      <numFmt numFmtId="167" formatCode="#"/>
      <alignment horizontal="center" vertical="bottom" textRotation="0" wrapText="0" indent="0" justifyLastLine="0" shrinkToFit="0" readingOrder="0"/>
    </dxf>
    <dxf>
      <numFmt numFmtId="167" formatCode="#"/>
      <alignment horizontal="center" vertical="bottom" textRotation="0" wrapText="0" indent="0" justifyLastLine="0" shrinkToFit="0" readingOrder="0"/>
    </dxf>
    <dxf>
      <numFmt numFmtId="164" formatCode="&quot;₪&quot;\ #,##0.00"/>
      <alignment horizontal="center" vertical="bottom" textRotation="0" wrapText="0" indent="0" justifyLastLine="0" shrinkToFit="0" readingOrder="0"/>
    </dxf>
    <dxf>
      <numFmt numFmtId="164" formatCode="&quot;₪&quot;\ #,##0.00"/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FA7E4AB-A4F4-4C63-9188-F8B73A367D5F}" name="מוצרים" displayName="מוצרים" ref="A5:J7" totalsRowShown="0">
  <autoFilter ref="A5:J7" xr:uid="{FFA7E4AB-A4F4-4C63-9188-F8B73A367D5F}"/>
  <tableColumns count="10">
    <tableColumn id="2" xr3:uid="{DFB2836D-4E6B-46E1-82BD-22E5D4243A2E}" name="שם מוצר"/>
    <tableColumn id="5" xr3:uid="{7A9F6363-2BCA-4A85-8C6C-E8699BF33ABF}" name="מחיר עלות" dataDxfId="26"/>
    <tableColumn id="3" xr3:uid="{0E3DB7A0-D5E5-4539-BC26-E905A3F3BFF3}" name="מחיר צרכן" dataDxfId="25"/>
    <tableColumn id="6" xr3:uid="{6352E2D0-BA4E-45A7-A7EF-703B3D051541}" name="התחלה" dataDxfId="23">
      <calculatedColumnFormula>SUMIFS(תנועות[כמות],תנועות[שנה],חיפוש_שנה,תנועות[מספר שבוע],חיפוש_שבוע,תנועות[נקודה],חיפוש_נקודה,תנועות[מוצר],מוצרים[[#This Row],[שם מוצר]],תנועות[פעולה],"=ספירת התחלה")</calculatedColumnFormula>
    </tableColumn>
    <tableColumn id="11" xr3:uid="{06D12606-5969-4E80-B38E-ADACE9E45AB4}" name="הבאה-לקיחה" dataDxfId="22">
      <calculatedColumnFormula>SUMIFS(תנועות[כמות],תנועות[שנה],חיפוש_שנה,תנועות[מספר שבוע],חיפוש_שבוע,תנועות[נקודה],חיפוש_נקודה,תנועות[מוצר],מוצרים[[#This Row],[שם מוצר]],תנועות[פעולה],"הבאה")+SUMIFS(תנועות[כמות],תנועות[שנה],חיפוש_שנה,תנועות[מספר שבוע],חיפוש_שבוע,תנועות[נקודה],חיפוש_נקודה,תנועות[מוצר],מוצרים[[#This Row],[שם מוצר]],תנועות[פעולה],"לקיחה")</calculatedColumnFormula>
    </tableColumn>
    <tableColumn id="7" xr3:uid="{1CC5E523-B50E-40B9-8BC6-609F71514C4B}" name="סיום" dataDxfId="24">
      <calculatedColumnFormula>SUMIFS(תנועות[כמות],תנועות[שנה],חיפוש_שנה,תנועות[מספר שבוע],חיפוש_שבוע,תנועות[נקודה],חיפוש_נקודה,תנועות[מוצר],מוצרים[[#This Row],[שם מוצר]],תנועות[פעולה],"ספירת סיום")</calculatedColumnFormula>
    </tableColumn>
    <tableColumn id="8" xr3:uid="{015C1E05-DCD5-40A7-B9AC-46F5DF8C1155}" name="מכירה" dataDxfId="21">
      <calculatedColumnFormula>מוצרים[[#This Row],[התחלה]]+מוצרים[[#This Row],[הבאה-לקיחה]]-מוצרים[[#This Row],[סיום]]</calculatedColumnFormula>
    </tableColumn>
    <tableColumn id="10" xr3:uid="{514C0484-FC79-47AE-A904-A45287ADFF19}" name="סכום" dataDxfId="5">
      <calculatedColumnFormula>מוצרים[[#This Row],[מכירה]]*מוצרים[[#This Row],[מחיר צרכן]]</calculatedColumnFormula>
    </tableColumn>
    <tableColumn id="9" xr3:uid="{EF5880E0-0FF2-4F33-BD58-43A8619A76BD}" name="עלות" dataDxfId="4">
      <calculatedColumnFormula>מוצרים[[#This Row],[מכירה]]*מוצרים[[#This Row],[מחיר עלות]]</calculatedColumnFormula>
    </tableColumn>
    <tableColumn id="14" xr3:uid="{085A0DB5-7DBC-425C-BAC4-7F480332EFF4}" name="הפרש" dataDxfId="3">
      <calculatedColumnFormula>מוצרים[[#This Row],[סכום]]-מוצרים[[#This Row],[עלות]]</calculatedColumnFormula>
    </tableColumn>
  </tableColumns>
  <tableStyleInfo name="TableStyleLight15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65E3FBF7-122C-403D-AE32-EB944B7A2A79}" name="נקודות" displayName="נקודות" ref="L5:R7" totalsRowShown="0">
  <autoFilter ref="L5:R7" xr:uid="{65E3FBF7-122C-403D-AE32-EB944B7A2A79}"/>
  <tableColumns count="7">
    <tableColumn id="1" xr3:uid="{4C0958E4-A7A5-4AE8-89EF-9C6A3300AB19}" name="שם נקודה"/>
    <tableColumn id="2" xr3:uid="{E6E5B84F-2F99-4789-B960-9EE54503D42B}" name="התחלה" dataDxfId="9">
      <calculatedColumnFormula>SUMIFS(תנועות[כמות],תנועות[שנה],חיפוש_שנה,תנועות[מספר שבוע],חיפוש_שבוע,תנועות[נקודה],נקודות[[#This Row],[שם נקודה]],תנועות[מוצר],חיפוש_מוצר,תנועות[פעולה],"=ספירת התחלה")</calculatedColumnFormula>
    </tableColumn>
    <tableColumn id="3" xr3:uid="{E9ED6AA1-FB78-46A4-8E7D-B0ECF6D5F91D}" name="הבאה-לקיחה" dataDxfId="8">
      <calculatedColumnFormula>SUMIFS(תנועות[כמות],תנועות[שנה],חיפוש_שנה,תנועות[מספר שבוע],חיפוש_שבוע,תנועות[נקודה],נקודות[[#This Row],[שם נקודה]],תנועות[מוצר],חיפוש_מוצר,תנועות[פעולה],"הבאה")-SUMIFS(תנועות[כמות],תנועות[שנה],חיפוש_שנה,תנועות[מספר שבוע],חיפוש_שבוע,תנועות[נקודה],נקודות[[#This Row],[שם נקודה]],תנועות[מוצר],חיפוש_מוצר,תנועות[פעולה],"לקיחה")</calculatedColumnFormula>
    </tableColumn>
    <tableColumn id="4" xr3:uid="{20EE5912-BA64-4B44-A133-1D6A3AD00044}" name="סיום" dataDxfId="7">
      <calculatedColumnFormula>SUMIFS(תנועות[כמות],תנועות[שנה],חיפוש_שנה,תנועות[מספר שבוע],חיפוש_שבוע,תנועות[נקודה],נקודות[[#This Row],[שם נקודה]],תנועות[מוצר],חיפוש_מוצר,תנועות[פעולה],"=ספירת סיום")</calculatedColumnFormula>
    </tableColumn>
    <tableColumn id="5" xr3:uid="{22D07888-02A4-4FC4-890C-0F1DCE2AB302}" name="מכירה" dataDxfId="6">
      <calculatedColumnFormula>נקודות[[#This Row],[התחלה]]+נקודות[[#This Row],[הבאה-לקיחה]]-נקודות[[#This Row],[סיום]]</calculatedColumnFormula>
    </tableColumn>
    <tableColumn id="6" xr3:uid="{4EE8169B-860D-46F9-8FE9-77564DAE2910}" name="סכום" dataDxfId="2">
      <calculatedColumnFormula>נקודות[[#This Row],[מכירה]]*חיפוש_מחיר_צרכן</calculatedColumnFormula>
    </tableColumn>
    <tableColumn id="7" xr3:uid="{EAACB0AF-9D28-4A85-847A-C949A3C978FA}" name="עלות" dataDxfId="1">
      <calculatedColumnFormula>נקודות[[#This Row],[מכירה]]*חיפוש_מחיר_עלות</calculatedColumnFormula>
    </tableColumn>
  </tableColumns>
  <tableStyleInfo name="TableStyleLight15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19D1BBC0-61D7-48F9-9DB9-FEDF9F2317D9}" name="תנועות" displayName="תנועות" ref="A1:G15" totalsRowShown="0" headerRowDxfId="14">
  <autoFilter ref="A1:G15" xr:uid="{19D1BBC0-61D7-48F9-9DB9-FEDF9F2317D9}"/>
  <tableColumns count="7">
    <tableColumn id="1" xr3:uid="{16CF4781-B6BD-4EEE-A271-4153302B741D}" name="תאריך" dataDxfId="13"/>
    <tableColumn id="3" xr3:uid="{3AEA75A7-0F7C-4874-B173-26DDFECD442D}" name="נקודה"/>
    <tableColumn id="4" xr3:uid="{4B3E81D5-E6CF-4D2F-8FEF-C3A62A29F8F7}" name="מוצר"/>
    <tableColumn id="5" xr3:uid="{0BD6785B-D77A-4038-BAF6-08F1E0E31F5F}" name="פעולה"/>
    <tableColumn id="6" xr3:uid="{DC0D14B4-08C7-4B87-AE5B-F8F52C89F3D1}" name="כמות" dataDxfId="12"/>
    <tableColumn id="7" xr3:uid="{E536E0EA-F58D-466F-81E8-07897BE5E1C1}" name="שנה" dataDxfId="11">
      <calculatedColumnFormula>IF(AND(DAY(A2)&lt;7,MONTH(A2)=1,DAY(A2)&lt;WEEKDAY(A2)),YEAR(A2-7+DAY(A2)),YEAR(A2))</calculatedColumnFormula>
    </tableColumn>
    <tableColumn id="2" xr3:uid="{8501ACD0-2C40-4CE8-9E54-B89EF0F8D8B1}" name="מספר שבוע" dataDxfId="10">
      <calculatedColumnFormula>IF(AND(DAY(A2)&lt;7,MONTH(A2)=1,DAY(A2)&lt;WEEKDAY(A2)),WEEKNUM(A2-DAY(A2),1),WEEKNUM(A2,1))</calculatedColumnFormula>
    </tableColumn>
  </tableColumns>
  <tableStyleInfo name="TableStyleLight15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63CC22C4-B420-46F9-A538-5BC70A6579C9}" name="כספיות" displayName="כספיות" ref="I1:M4" totalsRowShown="0" headerRowBorderDxfId="19" tableBorderDxfId="20" totalsRowBorderDxfId="18">
  <autoFilter ref="I1:M4" xr:uid="{63CC22C4-B420-46F9-A538-5BC70A6579C9}"/>
  <tableColumns count="5">
    <tableColumn id="1" xr3:uid="{BA1BCA41-5B65-4509-BEA8-7DAFB18DEFD5}" name="תאריך" dataDxfId="15"/>
    <tableColumn id="2" xr3:uid="{19CD4C43-65B7-41A6-AA78-FC2CB8409D9B}" name="נקודה"/>
    <tableColumn id="3" xr3:uid="{6DD525BF-8BD1-4C87-BF25-D9C24E086E2A}" name="סכום" dataDxfId="0"/>
    <tableColumn id="4" xr3:uid="{4812E838-3589-403F-A31F-F1F5E320473F}" name="שנה" dataDxfId="16">
      <calculatedColumnFormula>IF(AND(DAY(I2)&lt;7,MONTH(I2)=1,DAY(I2)&lt;WEEKDAY(I2)),YEAR(I2-7+DAY(I2)),YEAR(I2))</calculatedColumnFormula>
    </tableColumn>
    <tableColumn id="5" xr3:uid="{CB0E5FAA-4D49-485F-8DE3-D0696D7B42F3}" name="מספר שבוע" dataDxfId="17">
      <calculatedColumnFormula>IF(AND(DAY(I2)&lt;7,MONTH(I2)=1,DAY(I2)&lt;WEEKDAY(I2)),WEEKNUM(I2-DAY(I2),1),WEEKNUM(I2,1))</calculatedColumnFormula>
    </tableColumn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AD2C51-BC59-439B-BA5A-FBFCF7FD7A0B}">
  <dimension ref="A1:R7"/>
  <sheetViews>
    <sheetView rightToLeft="1" tabSelected="1" workbookViewId="0">
      <pane ySplit="5" topLeftCell="A6" activePane="bottomLeft" state="frozen"/>
      <selection pane="bottomLeft" activeCell="B31" sqref="B31"/>
    </sheetView>
  </sheetViews>
  <sheetFormatPr defaultRowHeight="14.25" x14ac:dyDescent="0.45"/>
  <cols>
    <col min="1" max="1" width="39.796875" customWidth="1"/>
    <col min="2" max="3" width="9.06640625" style="2"/>
    <col min="4" max="5" width="12.19921875" style="2" customWidth="1"/>
    <col min="6" max="9" width="12.19921875" customWidth="1"/>
    <col min="10" max="10" width="13.86328125" customWidth="1"/>
    <col min="11" max="11" width="7.53125" customWidth="1"/>
    <col min="12" max="12" width="22.9296875" customWidth="1"/>
  </cols>
  <sheetData>
    <row r="1" spans="1:18" ht="14.25" customHeight="1" x14ac:dyDescent="0.45">
      <c r="A1" s="27" t="s">
        <v>34</v>
      </c>
      <c r="B1" s="28"/>
      <c r="C1" s="28"/>
      <c r="D1" s="31" t="s">
        <v>33</v>
      </c>
      <c r="E1" s="31" t="s">
        <v>30</v>
      </c>
      <c r="F1" s="20" t="s">
        <v>18</v>
      </c>
      <c r="G1" s="20" t="s">
        <v>23</v>
      </c>
      <c r="H1" s="20" t="s">
        <v>19</v>
      </c>
      <c r="I1" s="20" t="s">
        <v>12</v>
      </c>
      <c r="J1" s="20" t="s">
        <v>39</v>
      </c>
      <c r="M1" s="31" t="s">
        <v>35</v>
      </c>
      <c r="N1" s="33"/>
      <c r="O1" s="31" t="s">
        <v>31</v>
      </c>
      <c r="P1" s="33"/>
      <c r="Q1" s="20" t="s">
        <v>25</v>
      </c>
      <c r="R1" s="20" t="s">
        <v>20</v>
      </c>
    </row>
    <row r="2" spans="1:18" ht="14.25" customHeight="1" x14ac:dyDescent="0.45">
      <c r="A2" s="29"/>
      <c r="B2" s="30"/>
      <c r="C2" s="30"/>
      <c r="D2" s="32"/>
      <c r="E2" s="32"/>
      <c r="F2" s="26">
        <f>SUM(מוצרים[התחלה])</f>
        <v>17</v>
      </c>
      <c r="G2" s="26">
        <f>SUM(מוצרים[הבאה-לקיחה])</f>
        <v>5</v>
      </c>
      <c r="H2" s="26">
        <f>SUM(מוצרים[סיום])</f>
        <v>5</v>
      </c>
      <c r="I2" s="26">
        <f>SUM(מוצרים[מכירה])</f>
        <v>17</v>
      </c>
      <c r="J2" s="35">
        <f>J4/I2</f>
        <v>-1.6470588235294117</v>
      </c>
      <c r="M2" s="32"/>
      <c r="N2" s="34"/>
      <c r="O2" s="32"/>
      <c r="P2" s="34"/>
      <c r="Q2" s="35">
        <f>_xlfn.IFNA(VLOOKUP(חיפוש_מוצר,מוצרים[[שם מוצר]:[מחיר צרכן]],3,FALSE),0)</f>
        <v>10</v>
      </c>
      <c r="R2" s="35">
        <f>_xlfn.IFNA(VLOOKUP(חיפוש_מוצר,מוצרים[[שם מוצר]:[מחיר צרכן]],2,FALSE),0)</f>
        <v>7</v>
      </c>
    </row>
    <row r="3" spans="1:18" s="24" customFormat="1" x14ac:dyDescent="0.45">
      <c r="A3" s="20" t="s">
        <v>13</v>
      </c>
      <c r="B3" s="20" t="s">
        <v>11</v>
      </c>
      <c r="C3" s="20" t="s">
        <v>14</v>
      </c>
      <c r="D3" s="21" t="s">
        <v>5</v>
      </c>
      <c r="E3" s="23"/>
      <c r="F3" s="20" t="s">
        <v>27</v>
      </c>
      <c r="G3" s="20" t="s">
        <v>26</v>
      </c>
      <c r="H3" s="20" t="s">
        <v>29</v>
      </c>
      <c r="I3" s="20" t="s">
        <v>28</v>
      </c>
      <c r="J3" s="20" t="s">
        <v>38</v>
      </c>
      <c r="K3"/>
      <c r="M3" s="21" t="s">
        <v>15</v>
      </c>
      <c r="N3" s="22"/>
      <c r="O3" s="23"/>
      <c r="P3" s="20" t="s">
        <v>40</v>
      </c>
      <c r="Q3" s="20" t="s">
        <v>29</v>
      </c>
      <c r="R3" s="20" t="s">
        <v>32</v>
      </c>
    </row>
    <row r="4" spans="1:18" x14ac:dyDescent="0.45">
      <c r="A4" s="8">
        <v>44563</v>
      </c>
      <c r="B4" s="6">
        <f>IF(AND(DAY(A4)&lt;7,MONTH(A4)=1,DAY(A4)&lt;WEEKDAY(A4)),YEAR(A4-7+DAY(A4)),YEAR(A4))</f>
        <v>2022</v>
      </c>
      <c r="C4" s="7">
        <f>IF(AND(DAY(A4)&lt;7,MONTH(A4)=1,DAY(A4)&lt;WEEKDAY(A4)),WEEKNUM(A4-DAY(A4),1),WEEKNUM(A4,1))</f>
        <v>2</v>
      </c>
      <c r="D4" s="12" t="s">
        <v>37</v>
      </c>
      <c r="E4" s="25"/>
      <c r="F4" s="35">
        <f>H4-G4</f>
        <v>85</v>
      </c>
      <c r="G4" s="35">
        <f>SUMIFS(כספיות[סכום],כספיות[שנה],חיפוש_שנה,כספיות[מספר שבוע],חיפוש_שבוע,כספיות[נקודה],חיפוש_נקודה)</f>
        <v>100</v>
      </c>
      <c r="H4" s="35">
        <f>SUM(מוצרים[סכום])</f>
        <v>185</v>
      </c>
      <c r="I4" s="35">
        <f>SUM(מוצרים[עלות])</f>
        <v>128</v>
      </c>
      <c r="J4" s="35">
        <f>G4-I4</f>
        <v>-28</v>
      </c>
      <c r="M4" s="12" t="s">
        <v>1</v>
      </c>
      <c r="N4" s="13"/>
      <c r="O4" s="14"/>
      <c r="P4" s="35">
        <f>Q4-R4</f>
        <v>48</v>
      </c>
      <c r="Q4" s="35">
        <f>SUM(נקודות[סכום])</f>
        <v>160</v>
      </c>
      <c r="R4" s="35">
        <f>SUM(נקודות[עלות])</f>
        <v>112</v>
      </c>
    </row>
    <row r="5" spans="1:18" x14ac:dyDescent="0.45">
      <c r="A5" t="s">
        <v>4</v>
      </c>
      <c r="B5" s="2" t="s">
        <v>20</v>
      </c>
      <c r="C5" s="2" t="s">
        <v>25</v>
      </c>
      <c r="D5" s="2" t="s">
        <v>18</v>
      </c>
      <c r="E5" s="2" t="s">
        <v>23</v>
      </c>
      <c r="F5" s="3" t="s">
        <v>19</v>
      </c>
      <c r="G5" s="3" t="s">
        <v>12</v>
      </c>
      <c r="H5" s="3" t="s">
        <v>21</v>
      </c>
      <c r="I5" s="2" t="s">
        <v>3</v>
      </c>
      <c r="J5" s="3" t="s">
        <v>40</v>
      </c>
      <c r="L5" t="s">
        <v>6</v>
      </c>
      <c r="M5" s="2" t="s">
        <v>18</v>
      </c>
      <c r="N5" s="2" t="s">
        <v>23</v>
      </c>
      <c r="O5" s="3" t="s">
        <v>19</v>
      </c>
      <c r="P5" s="3" t="s">
        <v>12</v>
      </c>
      <c r="Q5" s="3" t="s">
        <v>21</v>
      </c>
      <c r="R5" s="2" t="s">
        <v>3</v>
      </c>
    </row>
    <row r="6" spans="1:18" x14ac:dyDescent="0.45">
      <c r="A6" t="s">
        <v>1</v>
      </c>
      <c r="B6" s="2">
        <v>7</v>
      </c>
      <c r="C6" s="2">
        <v>10</v>
      </c>
      <c r="D6" s="11">
        <f>SUMIFS(תנועות[כמות],תנועות[שנה],חיפוש_שנה,תנועות[מספר שבוע],חיפוש_שבוע,תנועות[נקודה],חיפוש_נקודה,תנועות[מוצר],מוצרים[[#This Row],[שם מוצר]],תנועות[פעולה],"=ספירת התחלה")</f>
        <v>10</v>
      </c>
      <c r="E6" s="11">
        <f>SUMIFS(תנועות[כמות],תנועות[שנה],חיפוש_שנה,תנועות[מספר שבוע],חיפוש_שבוע,תנועות[נקודה],חיפוש_נקודה,תנועות[מוצר],מוצרים[[#This Row],[שם מוצר]],תנועות[פעולה],"הבאה")+SUMIFS(תנועות[כמות],תנועות[שנה],חיפוש_שנה,תנועות[מספר שבוע],חיפוש_שבוע,תנועות[נקודה],חיפוש_נקודה,תנועות[מוצר],מוצרים[[#This Row],[שם מוצר]],תנועות[פעולה],"לקיחה")</f>
        <v>5</v>
      </c>
      <c r="F6" s="11">
        <f>SUMIFS(תנועות[כמות],תנועות[שנה],חיפוש_שנה,תנועות[מספר שבוע],חיפוש_שבוע,תנועות[נקודה],חיפוש_נקודה,תנועות[מוצר],מוצרים[[#This Row],[שם מוצר]],תנועות[פעולה],"ספירת סיום")</f>
        <v>1</v>
      </c>
      <c r="G6" s="11">
        <f>מוצרים[[#This Row],[התחלה]]+מוצרים[[#This Row],[הבאה-לקיחה]]-מוצרים[[#This Row],[סיום]]</f>
        <v>14</v>
      </c>
      <c r="H6" s="36">
        <f>מוצרים[[#This Row],[מכירה]]*מוצרים[[#This Row],[מחיר צרכן]]</f>
        <v>140</v>
      </c>
      <c r="I6" s="36">
        <f>מוצרים[[#This Row],[מכירה]]*מוצרים[[#This Row],[מחיר עלות]]</f>
        <v>98</v>
      </c>
      <c r="J6" s="36">
        <f>מוצרים[[#This Row],[סכום]]-מוצרים[[#This Row],[עלות]]</f>
        <v>42</v>
      </c>
      <c r="L6" t="s">
        <v>36</v>
      </c>
      <c r="M6" s="11">
        <f>SUMIFS(תנועות[כמות],תנועות[שנה],חיפוש_שנה,תנועות[מספר שבוע],חיפוש_שבוע,תנועות[נקודה],נקודות[[#This Row],[שם נקודה]],תנועות[מוצר],חיפוש_מוצר,תנועות[פעולה],"=ספירת התחלה")</f>
        <v>0</v>
      </c>
      <c r="N6" s="11">
        <f>SUMIFS(תנועות[כמות],תנועות[שנה],חיפוש_שנה,תנועות[מספר שבוע],חיפוש_שבוע,תנועות[נקודה],נקודות[[#This Row],[שם נקודה]],תנועות[מוצר],חיפוש_מוצר,תנועות[פעולה],"הבאה")-SUMIFS(תנועות[כמות],תנועות[שנה],חיפוש_שנה,תנועות[מספר שבוע],חיפוש_שבוע,תנועות[נקודה],נקודות[[#This Row],[שם נקודה]],תנועות[מוצר],חיפוש_מוצר,תנועות[פעולה],"לקיחה")</f>
        <v>4</v>
      </c>
      <c r="O6" s="11">
        <f>SUMIFS(תנועות[כמות],תנועות[שנה],חיפוש_שנה,תנועות[מספר שבוע],חיפוש_שבוע,תנועות[נקודה],נקודות[[#This Row],[שם נקודה]],תנועות[מוצר],חיפוש_מוצר,תנועות[פעולה],"=ספירת סיום")</f>
        <v>2</v>
      </c>
      <c r="P6" s="11">
        <f>נקודות[[#This Row],[התחלה]]+נקודות[[#This Row],[הבאה-לקיחה]]-נקודות[[#This Row],[סיום]]</f>
        <v>2</v>
      </c>
      <c r="Q6" s="36">
        <f>נקודות[[#This Row],[מכירה]]*חיפוש_מחיר_צרכן</f>
        <v>20</v>
      </c>
      <c r="R6" s="36">
        <f>נקודות[[#This Row],[מכירה]]*חיפוש_מחיר_עלות</f>
        <v>14</v>
      </c>
    </row>
    <row r="7" spans="1:18" x14ac:dyDescent="0.45">
      <c r="A7" t="s">
        <v>2</v>
      </c>
      <c r="B7" s="2">
        <v>10</v>
      </c>
      <c r="C7" s="2">
        <v>15</v>
      </c>
      <c r="D7" s="11">
        <f>SUMIFS(תנועות[כמות],תנועות[שנה],חיפוש_שנה,תנועות[מספר שבוע],חיפוש_שבוע,תנועות[נקודה],חיפוש_נקודה,תנועות[מוצר],מוצרים[[#This Row],[שם מוצר]],תנועות[פעולה],"=ספירת התחלה")</f>
        <v>7</v>
      </c>
      <c r="E7" s="11">
        <f>SUMIFS(תנועות[כמות],תנועות[שנה],חיפוש_שנה,תנועות[מספר שבוע],חיפוש_שבוע,תנועות[נקודה],חיפוש_נקודה,תנועות[מוצר],מוצרים[[#This Row],[שם מוצר]],תנועות[פעולה],"הבאה")+SUMIFS(תנועות[כמות],תנועות[שנה],חיפוש_שנה,תנועות[מספר שבוע],חיפוש_שבוע,תנועות[נקודה],חיפוש_נקודה,תנועות[מוצר],מוצרים[[#This Row],[שם מוצר]],תנועות[פעולה],"לקיחה")</f>
        <v>0</v>
      </c>
      <c r="F7" s="11">
        <f>SUMIFS(תנועות[כמות],תנועות[שנה],חיפוש_שנה,תנועות[מספר שבוע],חיפוש_שבוע,תנועות[נקודה],חיפוש_נקודה,תנועות[מוצר],מוצרים[[#This Row],[שם מוצר]],תנועות[פעולה],"ספירת סיום")</f>
        <v>4</v>
      </c>
      <c r="G7" s="11">
        <f>מוצרים[[#This Row],[התחלה]]+מוצרים[[#This Row],[הבאה-לקיחה]]-מוצרים[[#This Row],[סיום]]</f>
        <v>3</v>
      </c>
      <c r="H7" s="36">
        <f>מוצרים[[#This Row],[מכירה]]*מוצרים[[#This Row],[מחיר צרכן]]</f>
        <v>45</v>
      </c>
      <c r="I7" s="36">
        <f>מוצרים[[#This Row],[מכירה]]*מוצרים[[#This Row],[מחיר עלות]]</f>
        <v>30</v>
      </c>
      <c r="J7" s="36">
        <f>מוצרים[[#This Row],[סכום]]-מוצרים[[#This Row],[עלות]]</f>
        <v>15</v>
      </c>
      <c r="L7" t="s">
        <v>37</v>
      </c>
      <c r="M7" s="11">
        <f>SUMIFS(תנועות[כמות],תנועות[שנה],חיפוש_שנה,תנועות[מספר שבוע],חיפוש_שבוע,תנועות[נקודה],נקודות[[#This Row],[שם נקודה]],תנועות[מוצר],חיפוש_מוצר,תנועות[פעולה],"=ספירת התחלה")</f>
        <v>10</v>
      </c>
      <c r="N7" s="11">
        <f>SUMIFS(תנועות[כמות],תנועות[שנה],חיפוש_שנה,תנועות[מספר שבוע],חיפוש_שבוע,תנועות[נקודה],נקודות[[#This Row],[שם נקודה]],תנועות[מוצר],חיפוש_מוצר,תנועות[פעולה],"הבאה")-SUMIFS(תנועות[כמות],תנועות[שנה],חיפוש_שנה,תנועות[מספר שבוע],חיפוש_שבוע,תנועות[נקודה],נקודות[[#This Row],[שם נקודה]],תנועות[מוצר],חיפוש_מוצר,תנועות[פעולה],"לקיחה")</f>
        <v>5</v>
      </c>
      <c r="O7" s="11">
        <f>SUMIFS(תנועות[כמות],תנועות[שנה],חיפוש_שנה,תנועות[מספר שבוע],חיפוש_שבוע,תנועות[נקודה],נקודות[[#This Row],[שם נקודה]],תנועות[מוצר],חיפוש_מוצר,תנועות[פעולה],"=ספירת סיום")</f>
        <v>1</v>
      </c>
      <c r="P7" s="11">
        <f>נקודות[[#This Row],[התחלה]]+נקודות[[#This Row],[הבאה-לקיחה]]-נקודות[[#This Row],[סיום]]</f>
        <v>14</v>
      </c>
      <c r="Q7" s="36">
        <f>נקודות[[#This Row],[מכירה]]*חיפוש_מחיר_צרכן</f>
        <v>140</v>
      </c>
      <c r="R7" s="36">
        <f>נקודות[[#This Row],[מכירה]]*חיפוש_מחיר_עלות</f>
        <v>98</v>
      </c>
    </row>
  </sheetData>
  <mergeCells count="9">
    <mergeCell ref="M1:N2"/>
    <mergeCell ref="O1:P2"/>
    <mergeCell ref="D1:D2"/>
    <mergeCell ref="M3:O3"/>
    <mergeCell ref="M4:O4"/>
    <mergeCell ref="A1:C2"/>
    <mergeCell ref="E1:E2"/>
    <mergeCell ref="D3:E3"/>
    <mergeCell ref="D4:E4"/>
  </mergeCells>
  <phoneticPr fontId="2" type="noConversion"/>
  <dataValidations count="3">
    <dataValidation type="list" allowBlank="1" showInputMessage="1" showErrorMessage="1" sqref="M4" xr:uid="{721D71F5-E15E-4793-8A9B-2049952114F1}">
      <formula1>INDIRECT("מוצרים[שם מוצר]")</formula1>
    </dataValidation>
    <dataValidation type="date" allowBlank="1" showInputMessage="1" showErrorMessage="1" sqref="A4" xr:uid="{6C15BC55-2A4F-4C97-869D-060790CBB1E3}">
      <formula1>36526</formula1>
      <formula2>73050</formula2>
    </dataValidation>
    <dataValidation type="list" allowBlank="1" showInputMessage="1" showErrorMessage="1" sqref="D4:E4" xr:uid="{086C11E7-8BDB-4698-8DC9-1EB68AB8BE9B}">
      <formula1>INDIRECT("נקודות[שם נקודה]")</formula1>
    </dataValidation>
  </dataValidations>
  <pageMargins left="0.7" right="0.7" top="0.75" bottom="0.75" header="0.3" footer="0.3"/>
  <tableParts count="2">
    <tablePart r:id="rId1"/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FAFF7A-B04E-4E53-92B5-9D9EF669E4E8}">
  <dimension ref="A1:R15"/>
  <sheetViews>
    <sheetView rightToLeft="1" workbookViewId="0">
      <selection activeCell="D23" sqref="D23"/>
    </sheetView>
  </sheetViews>
  <sheetFormatPr defaultRowHeight="14.25" x14ac:dyDescent="0.45"/>
  <cols>
    <col min="1" max="1" width="16.3984375" style="5" customWidth="1"/>
    <col min="3" max="3" width="15.59765625" customWidth="1"/>
    <col min="4" max="4" width="11.19921875" bestFit="1" customWidth="1"/>
    <col min="6" max="6" width="11.19921875" bestFit="1" customWidth="1"/>
    <col min="7" max="7" width="9.06640625" style="3"/>
    <col min="9" max="9" width="12.6640625" style="10" customWidth="1"/>
    <col min="10" max="10" width="9.33203125" bestFit="1" customWidth="1"/>
    <col min="18" max="18" width="10.19921875" bestFit="1" customWidth="1"/>
  </cols>
  <sheetData>
    <row r="1" spans="1:18" s="3" customFormat="1" ht="14.65" thickBot="1" x14ac:dyDescent="0.5">
      <c r="A1" s="10" t="s">
        <v>7</v>
      </c>
      <c r="B1" s="3" t="s">
        <v>5</v>
      </c>
      <c r="C1" s="3" t="s">
        <v>0</v>
      </c>
      <c r="D1" s="3" t="s">
        <v>10</v>
      </c>
      <c r="E1" s="3" t="s">
        <v>8</v>
      </c>
      <c r="F1" s="3" t="s">
        <v>11</v>
      </c>
      <c r="G1" s="3" t="s">
        <v>9</v>
      </c>
      <c r="I1" s="17" t="s">
        <v>7</v>
      </c>
      <c r="J1" s="18" t="s">
        <v>5</v>
      </c>
      <c r="K1" s="19" t="s">
        <v>21</v>
      </c>
      <c r="L1" s="3" t="s">
        <v>11</v>
      </c>
      <c r="M1" s="3" t="s">
        <v>9</v>
      </c>
    </row>
    <row r="2" spans="1:18" x14ac:dyDescent="0.45">
      <c r="A2" s="10">
        <v>44563</v>
      </c>
      <c r="B2" t="s">
        <v>37</v>
      </c>
      <c r="C2" t="s">
        <v>1</v>
      </c>
      <c r="D2" t="s">
        <v>16</v>
      </c>
      <c r="E2" s="3">
        <v>10</v>
      </c>
      <c r="F2" s="9">
        <f>IF(AND(DAY(A2)&lt;7,MONTH(A2)=1,DAY(A2)&lt;WEEKDAY(A2)),YEAR(A2-7+DAY(A2)),YEAR(A2))</f>
        <v>2022</v>
      </c>
      <c r="G2" s="3">
        <f>IF(AND(DAY(A2)&lt;7,MONTH(A2)=1,DAY(A2)&lt;WEEKDAY(A2)),WEEKNUM(A2-DAY(A2),1),WEEKNUM(A2,1))</f>
        <v>2</v>
      </c>
      <c r="I2" s="15">
        <v>44563</v>
      </c>
      <c r="J2" s="16" t="s">
        <v>37</v>
      </c>
      <c r="K2" s="1">
        <v>100</v>
      </c>
      <c r="L2" s="9">
        <f>IF(AND(DAY(I2)&lt;7,MONTH(I2)=1,DAY(I2)&lt;WEEKDAY(I2)),YEAR(I2-7+DAY(I2)),YEAR(I2))</f>
        <v>2022</v>
      </c>
      <c r="M2" s="3">
        <f>IF(AND(DAY(I2)&lt;7,MONTH(I2)=1,DAY(I2)&lt;WEEKDAY(I2)),WEEKNUM(I2-DAY(I2),1),WEEKNUM(I2,1))</f>
        <v>2</v>
      </c>
    </row>
    <row r="3" spans="1:18" x14ac:dyDescent="0.45">
      <c r="A3" s="10">
        <v>44563</v>
      </c>
      <c r="B3" t="s">
        <v>37</v>
      </c>
      <c r="C3" t="s">
        <v>1</v>
      </c>
      <c r="D3" t="s">
        <v>24</v>
      </c>
      <c r="E3" s="3">
        <v>5</v>
      </c>
      <c r="F3" s="9">
        <f>IF(AND(DAY(A3)&lt;7,MONTH(A3)=1,DAY(A3)&lt;WEEKDAY(A3)),YEAR(A3-7+DAY(A3)),YEAR(A3))</f>
        <v>2022</v>
      </c>
      <c r="G3" s="3">
        <f>IF(AND(DAY(A3)&lt;7,MONTH(A3)=1,DAY(A3)&lt;WEEKDAY(A3)),WEEKNUM(A3-DAY(A3),1),WEEKNUM(A3,1))</f>
        <v>2</v>
      </c>
      <c r="I3" s="10">
        <v>44564</v>
      </c>
      <c r="K3" s="1"/>
      <c r="L3" s="9">
        <f>IF(AND(DAY(I3)&lt;7,MONTH(I3)=1,DAY(I3)&lt;WEEKDAY(I3)),YEAR(I3-7+DAY(I3)),YEAR(I3))</f>
        <v>2022</v>
      </c>
      <c r="M3" s="3">
        <f>IF(AND(DAY(I3)&lt;7,MONTH(I3)=1,DAY(I3)&lt;WEEKDAY(I3)),WEEKNUM(I3-DAY(I3),1),WEEKNUM(I3,1))</f>
        <v>2</v>
      </c>
    </row>
    <row r="4" spans="1:18" x14ac:dyDescent="0.45">
      <c r="A4" s="10">
        <v>44563</v>
      </c>
      <c r="B4" t="s">
        <v>37</v>
      </c>
      <c r="C4" t="s">
        <v>2</v>
      </c>
      <c r="D4" t="s">
        <v>16</v>
      </c>
      <c r="E4" s="3">
        <v>7</v>
      </c>
      <c r="F4" s="9">
        <f>IF(AND(DAY(A4)&lt;7,MONTH(A4)=1,DAY(A4)&lt;WEEKDAY(A4)),YEAR(A4-7+DAY(A4)),YEAR(A4))</f>
        <v>2022</v>
      </c>
      <c r="G4" s="3">
        <f>IF(AND(DAY(A4)&lt;7,MONTH(A4)=1,DAY(A4)&lt;WEEKDAY(A4)),WEEKNUM(A4-DAY(A4),1),WEEKNUM(A4,1))</f>
        <v>2</v>
      </c>
      <c r="I4" s="10">
        <v>44565</v>
      </c>
      <c r="K4" s="1"/>
      <c r="L4" s="9">
        <f>IF(AND(DAY(I4)&lt;7,MONTH(I4)=1,DAY(I4)&lt;WEEKDAY(I4)),YEAR(I4-7+DAY(I4)),YEAR(I4))</f>
        <v>2022</v>
      </c>
      <c r="M4" s="3">
        <f>IF(AND(DAY(I4)&lt;7,MONTH(I4)=1,DAY(I4)&lt;WEEKDAY(I4)),WEEKNUM(I4-DAY(I4),1),WEEKNUM(I4,1))</f>
        <v>2</v>
      </c>
    </row>
    <row r="5" spans="1:18" x14ac:dyDescent="0.45">
      <c r="A5" s="10">
        <v>44564</v>
      </c>
      <c r="B5" t="s">
        <v>36</v>
      </c>
      <c r="C5" t="s">
        <v>2</v>
      </c>
      <c r="D5" t="s">
        <v>16</v>
      </c>
      <c r="E5" s="3">
        <v>3</v>
      </c>
      <c r="F5" s="9">
        <f>IF(AND(DAY(A5)&lt;7,MONTH(A5)=1,DAY(A5)&lt;WEEKDAY(A5)),YEAR(A5-7+DAY(A5)),YEAR(A5))</f>
        <v>2022</v>
      </c>
      <c r="G5" s="3">
        <f>IF(AND(DAY(A5)&lt;7,MONTH(A5)=1,DAY(A5)&lt;WEEKDAY(A5)),WEEKNUM(A5-DAY(A5),1),WEEKNUM(A5,1))</f>
        <v>2</v>
      </c>
    </row>
    <row r="6" spans="1:18" x14ac:dyDescent="0.45">
      <c r="A6" s="10">
        <v>44565</v>
      </c>
      <c r="B6" t="s">
        <v>36</v>
      </c>
      <c r="C6" t="s">
        <v>1</v>
      </c>
      <c r="D6" t="s">
        <v>24</v>
      </c>
      <c r="E6" s="3">
        <v>4</v>
      </c>
      <c r="F6" s="9">
        <f>IF(AND(DAY(A6)&lt;7,MONTH(A6)=1,DAY(A6)&lt;WEEKDAY(A6)),YEAR(A6-7+DAY(A6)),YEAR(A6))</f>
        <v>2022</v>
      </c>
      <c r="G6" s="3">
        <f>IF(AND(DAY(A6)&lt;7,MONTH(A6)=1,DAY(A6)&lt;WEEKDAY(A6)),WEEKNUM(A6-DAY(A6),1),WEEKNUM(A6,1))</f>
        <v>2</v>
      </c>
    </row>
    <row r="7" spans="1:18" x14ac:dyDescent="0.45">
      <c r="A7" s="10">
        <v>44566</v>
      </c>
      <c r="B7" t="s">
        <v>37</v>
      </c>
      <c r="C7" t="s">
        <v>2</v>
      </c>
      <c r="D7" t="s">
        <v>17</v>
      </c>
      <c r="E7" s="3">
        <v>4</v>
      </c>
      <c r="F7" s="9">
        <f>IF(AND(DAY(A7)&lt;7,MONTH(A7)=1,DAY(A7)&lt;WEEKDAY(A7)),YEAR(A7-7+DAY(A7)),YEAR(A7))</f>
        <v>2022</v>
      </c>
      <c r="G7" s="3">
        <f>IF(AND(DAY(A7)&lt;7,MONTH(A7)=1,DAY(A7)&lt;WEEKDAY(A7)),WEEKNUM(A7-DAY(A7),1),WEEKNUM(A7,1))</f>
        <v>2</v>
      </c>
    </row>
    <row r="8" spans="1:18" x14ac:dyDescent="0.45">
      <c r="A8" s="10">
        <v>44567</v>
      </c>
      <c r="B8" t="s">
        <v>36</v>
      </c>
      <c r="C8" t="s">
        <v>2</v>
      </c>
      <c r="D8" t="s">
        <v>22</v>
      </c>
      <c r="E8" s="3">
        <v>1</v>
      </c>
      <c r="F8" s="9">
        <f>IF(AND(DAY(A8)&lt;7,MONTH(A8)=1,DAY(A8)&lt;WEEKDAY(A8)),YEAR(A8-7+DAY(A8)),YEAR(A8))</f>
        <v>2022</v>
      </c>
      <c r="G8" s="3">
        <f>IF(AND(DAY(A8)&lt;7,MONTH(A8)=1,DAY(A8)&lt;WEEKDAY(A8)),WEEKNUM(A8-DAY(A8),1),WEEKNUM(A8,1))</f>
        <v>2</v>
      </c>
      <c r="N8" s="4"/>
      <c r="R8" s="5"/>
    </row>
    <row r="9" spans="1:18" x14ac:dyDescent="0.45">
      <c r="A9" s="10">
        <v>44563</v>
      </c>
      <c r="B9" t="s">
        <v>36</v>
      </c>
      <c r="C9" t="s">
        <v>1</v>
      </c>
      <c r="D9" t="s">
        <v>17</v>
      </c>
      <c r="E9" s="3">
        <v>2</v>
      </c>
      <c r="F9" s="9">
        <f>IF(AND(DAY(A9)&lt;7,MONTH(A9)=1,DAY(A9)&lt;WEEKDAY(A9)),YEAR(A9-7+DAY(A9)),YEAR(A9))</f>
        <v>2022</v>
      </c>
      <c r="G9" s="3">
        <f>IF(AND(DAY(A9)&lt;7,MONTH(A9)=1,DAY(A9)&lt;WEEKDAY(A9)),WEEKNUM(A9-DAY(A9),1),WEEKNUM(A9,1))</f>
        <v>2</v>
      </c>
    </row>
    <row r="10" spans="1:18" x14ac:dyDescent="0.45">
      <c r="A10" s="10">
        <v>44564</v>
      </c>
      <c r="B10" t="s">
        <v>37</v>
      </c>
      <c r="C10" t="s">
        <v>1</v>
      </c>
      <c r="D10" t="s">
        <v>17</v>
      </c>
      <c r="E10" s="3">
        <v>1</v>
      </c>
      <c r="F10" s="9">
        <f>IF(AND(DAY(A10)&lt;7,MONTH(A10)=1,DAY(A10)&lt;WEEKDAY(A10)),YEAR(A10-7+DAY(A10)),YEAR(A10))</f>
        <v>2022</v>
      </c>
      <c r="G10" s="3">
        <f>IF(AND(DAY(A10)&lt;7,MONTH(A10)=1,DAY(A10)&lt;WEEKDAY(A10)),WEEKNUM(A10-DAY(A10),1),WEEKNUM(A10,1))</f>
        <v>2</v>
      </c>
    </row>
    <row r="11" spans="1:18" x14ac:dyDescent="0.45">
      <c r="A11" s="10">
        <v>44565</v>
      </c>
      <c r="B11" t="s">
        <v>36</v>
      </c>
      <c r="C11" t="s">
        <v>2</v>
      </c>
      <c r="D11" t="s">
        <v>17</v>
      </c>
      <c r="E11" s="3">
        <v>0</v>
      </c>
      <c r="F11" s="9">
        <f t="shared" ref="F11:F15" si="0">IF(AND(DAY(A11)&lt;7,MONTH(A11)=1,DAY(A11)&lt;WEEKDAY(A11)),YEAR(A11-7+DAY(A11)),YEAR(A11))</f>
        <v>2022</v>
      </c>
      <c r="G11" s="3">
        <f t="shared" ref="G11:G15" si="1">IF(AND(DAY(A11)&lt;7,MONTH(A11)=1,DAY(A11)&lt;WEEKDAY(A11)),WEEKNUM(A11-DAY(A11),1),WEEKNUM(A11,1))</f>
        <v>2</v>
      </c>
    </row>
    <row r="12" spans="1:18" x14ac:dyDescent="0.45">
      <c r="A12" s="10"/>
      <c r="E12" s="3"/>
      <c r="F12" s="9" t="e">
        <f t="shared" si="0"/>
        <v>#NUM!</v>
      </c>
      <c r="G12" s="3">
        <f t="shared" si="1"/>
        <v>0</v>
      </c>
    </row>
    <row r="13" spans="1:18" x14ac:dyDescent="0.45">
      <c r="A13" s="10"/>
      <c r="E13" s="3"/>
      <c r="F13" s="9" t="e">
        <f t="shared" si="0"/>
        <v>#NUM!</v>
      </c>
      <c r="G13" s="3">
        <f t="shared" si="1"/>
        <v>0</v>
      </c>
    </row>
    <row r="14" spans="1:18" x14ac:dyDescent="0.45">
      <c r="A14" s="10"/>
      <c r="E14" s="3"/>
      <c r="F14" s="9" t="e">
        <f t="shared" si="0"/>
        <v>#NUM!</v>
      </c>
      <c r="G14" s="3">
        <f t="shared" si="1"/>
        <v>0</v>
      </c>
    </row>
    <row r="15" spans="1:18" x14ac:dyDescent="0.45">
      <c r="A15" s="10"/>
      <c r="E15" s="3"/>
      <c r="F15" s="9" t="e">
        <f t="shared" si="0"/>
        <v>#NUM!</v>
      </c>
      <c r="G15" s="3">
        <f t="shared" si="1"/>
        <v>0</v>
      </c>
    </row>
  </sheetData>
  <phoneticPr fontId="2" type="noConversion"/>
  <dataValidations count="6">
    <dataValidation type="list" allowBlank="1" showInputMessage="1" showErrorMessage="1" sqref="J2:J4 B2:B15" xr:uid="{44883CE3-65A5-4F88-864E-E9FA506BDB5C}">
      <formula1>INDIRECT("נקודות[שם נקודה]")</formula1>
    </dataValidation>
    <dataValidation type="list" allowBlank="1" showInputMessage="1" showErrorMessage="1" sqref="C2:C15" xr:uid="{0158854B-EC8C-42FE-A9F1-F88902D7E277}">
      <formula1>INDIRECT("מוצרים[שם מוצר]")</formula1>
    </dataValidation>
    <dataValidation type="list" allowBlank="1" showInputMessage="1" showErrorMessage="1" sqref="D2:D15" xr:uid="{59CDD6C9-EC93-4364-8DA4-CE08BDDAE7F4}">
      <formula1>"הבאה,לקיחה,ספירת התחלה,ספירת סיום"</formula1>
    </dataValidation>
    <dataValidation type="whole" operator="greaterThanOrEqual" allowBlank="1" showInputMessage="1" showErrorMessage="1" sqref="E2:G15 L2:M4" xr:uid="{40D0B5DA-5870-4BFB-81DA-7854D676F31B}">
      <formula1>0</formula1>
    </dataValidation>
    <dataValidation type="date" allowBlank="1" showInputMessage="1" showErrorMessage="1" sqref="A2:A15 I2:I4" xr:uid="{82F83F75-4E7B-42AE-91C5-1B5DFBF4DDEE}">
      <formula1>36526</formula1>
      <formula2>73050</formula2>
    </dataValidation>
    <dataValidation type="decimal" operator="notEqual" allowBlank="1" showInputMessage="1" showErrorMessage="1" sqref="K2:K4" xr:uid="{9B1CF323-382F-4733-9402-A23ABD0D7305}">
      <formula1>0</formula1>
    </dataValidation>
  </dataValidations>
  <pageMargins left="0.7" right="0.7" top="0.75" bottom="0.75" header="0.3" footer="0.3"/>
  <tableParts count="2">
    <tablePart r:id="rId1"/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2</vt:i4>
      </vt:variant>
      <vt:variant>
        <vt:lpstr>טווחים בעלי שם</vt:lpstr>
      </vt:variant>
      <vt:variant>
        <vt:i4>7</vt:i4>
      </vt:variant>
    </vt:vector>
  </HeadingPairs>
  <TitlesOfParts>
    <vt:vector size="9" baseType="lpstr">
      <vt:lpstr>סיכומים</vt:lpstr>
      <vt:lpstr>מילוי נתונים</vt:lpstr>
      <vt:lpstr>חיפוש_מוצר</vt:lpstr>
      <vt:lpstr>חיפוש_מחיר_עלות</vt:lpstr>
      <vt:lpstr>חיפוש_מחיר_צרכן</vt:lpstr>
      <vt:lpstr>חיפוש_נקודה</vt:lpstr>
      <vt:lpstr>חיפוש_שבוע</vt:lpstr>
      <vt:lpstr>חיפוש_שנה</vt:lpstr>
      <vt:lpstr>חיפוש_תאריך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PMK90</dc:creator>
  <cp:lastModifiedBy>PMK90</cp:lastModifiedBy>
  <dcterms:created xsi:type="dcterms:W3CDTF">2022-02-24T21:07:28Z</dcterms:created>
  <dcterms:modified xsi:type="dcterms:W3CDTF">2022-02-24T23:00:00Z</dcterms:modified>
</cp:coreProperties>
</file>